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6e6f4bab96ab8f1/Desktop/"/>
    </mc:Choice>
  </mc:AlternateContent>
  <xr:revisionPtr revIDLastSave="1051" documentId="8_{9CDCF97C-385F-405C-9139-5457C2897AF1}" xr6:coauthVersionLast="47" xr6:coauthVersionMax="47" xr10:uidLastSave="{9A2F43DF-5FB4-D24E-A81B-794741E82B73}"/>
  <workbookProtection workbookAlgorithmName="SHA-512" workbookHashValue="A7HaBM0ySYSm3/OhGsyY6syMLX3IXECG5/gRTJs5q/k57im2gH8PTnDfDo8lQ5dwaXL7g5XuObdLiIRX+PWuDA==" workbookSaltValue="kc1kSPuxLdX7DN4+GHK88A==" workbookSpinCount="100000" lockStructure="1"/>
  <bookViews>
    <workbookView xWindow="-120" yWindow="-120" windowWidth="29040" windowHeight="15720" activeTab="2" xr2:uid="{718EBB31-470A-4718-838B-52AF099CB4A5}"/>
  </bookViews>
  <sheets>
    <sheet name="Tabelle2" sheetId="2" r:id="rId1"/>
    <sheet name="Tabelle1" sheetId="1" r:id="rId2"/>
    <sheet name="Tabelle3" sheetId="3" r:id="rId3"/>
  </sheets>
  <definedNames>
    <definedName name="_xlnm.Print_Area" localSheetId="0">Tabelle2!$A$1:$H$42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1" l="1"/>
  <c r="E11" i="1"/>
  <c r="H5" i="3"/>
  <c r="H7" i="3"/>
  <c r="H14" i="3"/>
  <c r="I14" i="3"/>
  <c r="J12" i="3"/>
  <c r="E9" i="1"/>
  <c r="D5" i="3"/>
  <c r="F5" i="3"/>
  <c r="F13" i="2"/>
  <c r="F28" i="2"/>
  <c r="F33" i="2"/>
  <c r="F35" i="2"/>
  <c r="F34" i="2"/>
  <c r="B39" i="2"/>
  <c r="B40" i="2"/>
  <c r="F14" i="2"/>
  <c r="J14" i="3"/>
  <c r="K14" i="3"/>
  <c r="E5" i="3"/>
  <c r="D8" i="3"/>
  <c r="F36" i="2"/>
  <c r="B35" i="2"/>
  <c r="F8" i="3"/>
  <c r="E8" i="3"/>
  <c r="B41" i="2"/>
  <c r="F29" i="2"/>
  <c r="F30" i="2"/>
  <c r="F38" i="2"/>
  <c r="F39" i="2"/>
  <c r="F40" i="2"/>
  <c r="B5" i="1"/>
  <c r="C9" i="1"/>
  <c r="D19" i="1"/>
  <c r="C11" i="1"/>
  <c r="C5" i="1"/>
  <c r="E5" i="1"/>
  <c r="B5" i="3"/>
  <c r="C5" i="3"/>
  <c r="C7" i="1"/>
  <c r="E7" i="1"/>
  <c r="B7" i="3"/>
  <c r="C7" i="3"/>
  <c r="C19" i="3"/>
  <c r="D13" i="1"/>
  <c r="D15" i="1"/>
  <c r="D17" i="1"/>
  <c r="D11" i="3"/>
  <c r="D14" i="3"/>
  <c r="E14" i="3"/>
  <c r="D16" i="3"/>
  <c r="J5" i="3"/>
  <c r="I5" i="3"/>
  <c r="E11" i="3"/>
  <c r="E19" i="3"/>
  <c r="F11" i="3"/>
  <c r="F19" i="3"/>
  <c r="G19" i="3"/>
  <c r="K5" i="3"/>
  <c r="J7" i="3"/>
  <c r="I7" i="3"/>
  <c r="K7" i="3"/>
  <c r="H11" i="3"/>
  <c r="K9" i="3"/>
  <c r="I11" i="3"/>
  <c r="H16" i="3"/>
  <c r="I9" i="3"/>
  <c r="I19" i="3"/>
  <c r="J9" i="3"/>
  <c r="K11" i="3"/>
  <c r="J17" i="3"/>
  <c r="K17" i="3"/>
  <c r="J11" i="3"/>
  <c r="J19" i="3"/>
  <c r="K19" i="3"/>
</calcChain>
</file>

<file path=xl/sharedStrings.xml><?xml version="1.0" encoding="utf-8"?>
<sst xmlns="http://schemas.openxmlformats.org/spreadsheetml/2006/main" count="167" uniqueCount="129">
  <si>
    <t>Sparfähigkeit</t>
  </si>
  <si>
    <t>Glücksgeld</t>
  </si>
  <si>
    <t>Kurzfristige Rücklage</t>
  </si>
  <si>
    <t>Mittelfristige Rücklage</t>
  </si>
  <si>
    <t>Langfristige Rücklage</t>
  </si>
  <si>
    <t>Mittelfristig</t>
  </si>
  <si>
    <t>VL-Sparplan</t>
  </si>
  <si>
    <t>Förderung</t>
  </si>
  <si>
    <t>Max. 34€</t>
  </si>
  <si>
    <t>Eigene</t>
  </si>
  <si>
    <t>Allgemein</t>
  </si>
  <si>
    <t>WOP-BSV</t>
  </si>
  <si>
    <t>VL-BSV</t>
  </si>
  <si>
    <t>max 42€</t>
  </si>
  <si>
    <t>Langfristig</t>
  </si>
  <si>
    <t>AV-Depot</t>
  </si>
  <si>
    <t>max 30€</t>
  </si>
  <si>
    <t>max 120€</t>
  </si>
  <si>
    <t>persönlicher Steuersatz</t>
  </si>
  <si>
    <t>Persönliche Angaben</t>
  </si>
  <si>
    <t>Kurzfristig</t>
  </si>
  <si>
    <t>Tagesgeld</t>
  </si>
  <si>
    <t>Spardose</t>
  </si>
  <si>
    <t>Jährlich</t>
  </si>
  <si>
    <t>Summe</t>
  </si>
  <si>
    <t>Gesamtsumme</t>
  </si>
  <si>
    <t>Quote</t>
  </si>
  <si>
    <t>Basisrente</t>
  </si>
  <si>
    <t>Fördersatz</t>
  </si>
  <si>
    <t>Quoten</t>
  </si>
  <si>
    <t>max 2445€</t>
  </si>
  <si>
    <t>max. 29344€</t>
  </si>
  <si>
    <t>Ausgaben</t>
  </si>
  <si>
    <t>Monatlich</t>
  </si>
  <si>
    <t>Wohnen (Miete oder Darlehensrate)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</si>
  <si>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Heizung (Gas, Wärmestrom)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</si>
  <si>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Strom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</si>
  <si>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Handy, Internet und TV</t>
    </r>
  </si>
  <si>
    <t>Mobilität (Tanken, Fahrkarte)</t>
  </si>
  <si>
    <t>Haustiere</t>
  </si>
  <si>
    <t>Streaming und andere Abos</t>
  </si>
  <si>
    <t>Hobbies und Vereine</t>
  </si>
  <si>
    <t>Sport und Fitness</t>
  </si>
  <si>
    <t>Unterhaltsverpflichtung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</si>
  <si>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Ratenkredit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</si>
  <si>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Autokredit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</si>
  <si>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Dispokredit / Kreditkarte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</si>
  <si>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Kontogebühren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</si>
  <si>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Klarna / Paypal / Otto usw.</t>
    </r>
  </si>
  <si>
    <t>Reine Absicherungen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</si>
  <si>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KFZ-Haftpflichtversicherung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</si>
  <si>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Haftpflichtversicherung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</si>
  <si>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Hausratversicherung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</si>
  <si>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Rechtsschutzversicherung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</si>
  <si>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Krankenversicherung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</si>
  <si>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Berufsunfähigkeitsversicherung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</si>
  <si>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Lebensversicherung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</si>
  <si>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Unfallversicherung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</si>
  <si>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Wohngebäudeversicherung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</si>
  <si>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Tierhaftpflichtversicherung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</si>
  <si>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Tierkrankenversicherung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</si>
  <si>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(E-)Rollerversicherung</t>
    </r>
  </si>
  <si>
    <t>Summe der Fixkosten</t>
  </si>
  <si>
    <t>Lebensmittel</t>
  </si>
  <si>
    <t>Alltagsprodukte</t>
  </si>
  <si>
    <t>Zwischensumme</t>
  </si>
  <si>
    <t>5% Puffer für die Lebenshaltung</t>
  </si>
  <si>
    <t>Gesamtausgaben</t>
  </si>
  <si>
    <t>Sparen und Investieren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</si>
  <si>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(kurzfristig) Tagesgeld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</si>
  <si>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(kurzfristig) Sparbuch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</si>
  <si>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(kurzfristig) Spardose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</si>
  <si>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(mittelfristig) Bausparen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</si>
  <si>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(mittelfristig) Festgeld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</si>
  <si>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(mittelfristig) VL-Sparen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</si>
  <si>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(mittelfristig) Sparplan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</si>
  <si>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(langfristig) Rentenversicherung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</si>
  <si>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(langfristig) Betriebliche Vorsorge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</si>
  <si>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(langfristig) Neo-Broker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</si>
  <si>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(langfristig) Bankdepot</t>
    </r>
  </si>
  <si>
    <t>Gesamtsparsumme</t>
  </si>
  <si>
    <t>Sparquote</t>
  </si>
  <si>
    <t>Einkünfte</t>
  </si>
  <si>
    <t>Arbeitseinkommen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</si>
  <si>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Nebenjob</t>
    </r>
  </si>
  <si>
    <t>Kindergeld</t>
  </si>
  <si>
    <t>Unterhaltseinkommen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</si>
  <si>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Mieteinnahmen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</si>
  <si>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Gewerbeeinnahmen</t>
    </r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</si>
  <si>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color rgb="FF000000"/>
        <rFont val="Calibri"/>
        <family val="2"/>
        <scheme val="minor"/>
      </rPr>
      <t>Gewinne</t>
    </r>
  </si>
  <si>
    <t>Sonstiges</t>
  </si>
  <si>
    <t>Gesamteinkommen</t>
  </si>
  <si>
    <t>Sparverteilung</t>
  </si>
  <si>
    <t>Ist-Stand</t>
  </si>
  <si>
    <t>Gefällt dir das?</t>
  </si>
  <si>
    <t>Lifestyle / Konsum</t>
  </si>
  <si>
    <t>Verteilung der Sparfähigkeit</t>
  </si>
  <si>
    <t>Förderung p.a</t>
  </si>
  <si>
    <t>Sparleistung</t>
  </si>
  <si>
    <t>Arbeitsstatus</t>
  </si>
  <si>
    <t>Selbstständig</t>
  </si>
  <si>
    <t>Arbeitnehmer</t>
  </si>
  <si>
    <t>Beamter</t>
  </si>
  <si>
    <t>Arbeitssuchend</t>
  </si>
  <si>
    <t>Rentner</t>
  </si>
  <si>
    <t>bAV</t>
  </si>
  <si>
    <t>zu versteu. Einkommen</t>
  </si>
  <si>
    <t>&lt;35T€</t>
  </si>
  <si>
    <t>bis &lt;40T€</t>
  </si>
  <si>
    <t>&gt;40T€</t>
  </si>
  <si>
    <t>eigene Verteilung Glücksgeld</t>
  </si>
  <si>
    <t>eigene Kurzfristige Rücklage</t>
  </si>
  <si>
    <t>eigene Mittelfristige Rücklage</t>
  </si>
  <si>
    <t>eigene Langfristige Rücklage</t>
  </si>
  <si>
    <t>Verteilung</t>
  </si>
  <si>
    <t>&lt;25T€</t>
  </si>
  <si>
    <t>jährlich</t>
  </si>
  <si>
    <t>Nettoeinkommen</t>
  </si>
  <si>
    <t>verbleibendes Kapital für andere Lösungen</t>
  </si>
  <si>
    <t>max. 40€</t>
  </si>
  <si>
    <t>Besprarung BSV</t>
  </si>
  <si>
    <t>Steuervorteil</t>
  </si>
  <si>
    <t>Ja</t>
  </si>
  <si>
    <t>Nein</t>
  </si>
  <si>
    <t>Das kommt im Sparen an ----&gt;</t>
  </si>
  <si>
    <t>Konsum: Das haust du raus ----&gt;</t>
  </si>
  <si>
    <t>Soviel ist einfach weg ----&gt;</t>
  </si>
  <si>
    <r>
      <t>ü</t>
    </r>
    <r>
      <rPr>
        <sz val="7"/>
        <color rgb="FFD4AF37"/>
        <rFont val="Times New Roman"/>
        <family val="1"/>
      </rPr>
      <t xml:space="preserve">  </t>
    </r>
    <r>
      <rPr>
        <sz val="11"/>
        <rFont val="Calibri"/>
        <family val="2"/>
        <scheme val="minor"/>
      </rPr>
      <t>Pflegeversicherung</t>
    </r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</si>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</sst>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D4AF37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D4AF37"/>
      <name val="Wingdings"/>
      <charset val="2"/>
    </font>
    <font>
      <sz val="7"/>
      <color rgb="FFD4AF37"/>
      <name val="Times New Roman"/>
      <family val="1"/>
    </font>
    <font>
      <b/>
      <sz val="11"/>
      <color rgb="FF000000"/>
      <name val="Calibri"/>
      <family val="2"/>
      <scheme val="minor"/>
    </font>
    <font>
      <b/>
      <sz val="10"/>
      <color rgb="FFD4AF3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D4AF37"/>
      <name val="Calibri"/>
      <family val="2"/>
      <scheme val="minor"/>
    </font>
    <font>
      <sz val="8"/>
      <color rgb="FFD4AF37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vertical="center" wrapText="1"/>
    </xf>
    <xf numFmtId="10" fontId="7" fillId="2" borderId="2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10" fontId="10" fillId="2" borderId="2" xfId="0" applyNumberFormat="1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10" fontId="10" fillId="2" borderId="13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10" fillId="2" borderId="30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vertical="center" wrapText="1"/>
    </xf>
    <xf numFmtId="10" fontId="12" fillId="2" borderId="2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" fillId="0" borderId="0" xfId="0" applyFont="1"/>
    <xf numFmtId="164" fontId="12" fillId="2" borderId="13" xfId="0" applyNumberFormat="1" applyFont="1" applyFill="1" applyBorder="1" applyAlignment="1">
      <alignment vertical="center" wrapText="1"/>
    </xf>
    <xf numFmtId="164" fontId="12" fillId="2" borderId="6" xfId="0" applyNumberFormat="1" applyFont="1" applyFill="1" applyBorder="1" applyAlignment="1">
      <alignment vertical="center" wrapText="1"/>
    </xf>
    <xf numFmtId="164" fontId="12" fillId="2" borderId="14" xfId="0" applyNumberFormat="1" applyFont="1" applyFill="1" applyBorder="1" applyAlignment="1">
      <alignment vertical="center" wrapText="1"/>
    </xf>
    <xf numFmtId="10" fontId="12" fillId="2" borderId="1" xfId="0" applyNumberFormat="1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2" fillId="2" borderId="23" xfId="0" applyNumberFormat="1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164" fontId="12" fillId="2" borderId="26" xfId="0" applyNumberFormat="1" applyFont="1" applyFill="1" applyBorder="1" applyAlignment="1">
      <alignment vertical="center" wrapText="1"/>
    </xf>
    <xf numFmtId="10" fontId="12" fillId="2" borderId="6" xfId="0" applyNumberFormat="1" applyFont="1" applyFill="1" applyBorder="1" applyAlignment="1">
      <alignment vertical="center" wrapText="1"/>
    </xf>
    <xf numFmtId="10" fontId="8" fillId="2" borderId="6" xfId="0" applyNumberFormat="1" applyFont="1" applyFill="1" applyBorder="1" applyAlignment="1">
      <alignment vertical="center" wrapText="1"/>
    </xf>
    <xf numFmtId="10" fontId="12" fillId="2" borderId="25" xfId="0" applyNumberFormat="1" applyFont="1" applyFill="1" applyBorder="1" applyAlignment="1">
      <alignment vertical="center" wrapText="1"/>
    </xf>
    <xf numFmtId="164" fontId="12" fillId="2" borderId="20" xfId="0" applyNumberFormat="1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10" fontId="10" fillId="2" borderId="19" xfId="0" applyNumberFormat="1" applyFont="1" applyFill="1" applyBorder="1" applyAlignment="1">
      <alignment vertical="center" wrapText="1"/>
    </xf>
    <xf numFmtId="164" fontId="12" fillId="2" borderId="31" xfId="0" applyNumberFormat="1" applyFont="1" applyFill="1" applyBorder="1" applyAlignment="1">
      <alignment vertical="center" wrapText="1"/>
    </xf>
    <xf numFmtId="0" fontId="8" fillId="2" borderId="30" xfId="0" applyFont="1" applyFill="1" applyBorder="1" applyAlignment="1">
      <alignment vertical="center" wrapText="1"/>
    </xf>
    <xf numFmtId="164" fontId="12" fillId="2" borderId="5" xfId="0" applyNumberFormat="1" applyFont="1" applyFill="1" applyBorder="1" applyAlignment="1">
      <alignment vertical="center" wrapText="1"/>
    </xf>
    <xf numFmtId="10" fontId="7" fillId="2" borderId="5" xfId="0" applyNumberFormat="1" applyFont="1" applyFill="1" applyBorder="1" applyAlignment="1">
      <alignment vertical="center" wrapText="1"/>
    </xf>
    <xf numFmtId="10" fontId="10" fillId="2" borderId="5" xfId="0" applyNumberFormat="1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10" fontId="12" fillId="2" borderId="31" xfId="0" applyNumberFormat="1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0" fontId="1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 applyProtection="1">
      <alignment vertical="center" wrapText="1"/>
      <protection locked="0"/>
    </xf>
    <xf numFmtId="10" fontId="12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10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64" fontId="12" fillId="2" borderId="23" xfId="0" applyNumberFormat="1" applyFont="1" applyFill="1" applyBorder="1" applyAlignment="1">
      <alignment horizontal="center" vertical="center" wrapText="1"/>
    </xf>
    <xf numFmtId="164" fontId="12" fillId="2" borderId="33" xfId="0" applyNumberFormat="1" applyFont="1" applyFill="1" applyBorder="1" applyAlignment="1">
      <alignment horizontal="center" vertical="center" wrapText="1"/>
    </xf>
    <xf numFmtId="164" fontId="12" fillId="2" borderId="24" xfId="0" applyNumberFormat="1" applyFont="1" applyFill="1" applyBorder="1" applyAlignment="1">
      <alignment horizontal="center" vertical="center" wrapText="1"/>
    </xf>
    <xf numFmtId="164" fontId="12" fillId="2" borderId="21" xfId="0" applyNumberFormat="1" applyFont="1" applyFill="1" applyBorder="1" applyAlignment="1">
      <alignment horizontal="center" vertical="center" wrapText="1"/>
    </xf>
    <xf numFmtId="10" fontId="11" fillId="2" borderId="23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8" fillId="2" borderId="21" xfId="0" applyFont="1" applyFill="1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5B5A-6825-429E-AB0B-26E9D9575105}">
  <sheetPr>
    <pageSetUpPr fitToPage="1"/>
  </sheetPr>
  <dimension ref="A1:G41"/>
  <sheetViews>
    <sheetView topLeftCell="A6" workbookViewId="0">
      <selection activeCell="H21" sqref="H21"/>
    </sheetView>
  </sheetViews>
  <sheetFormatPr defaultColWidth="10.76171875" defaultRowHeight="15.75" customHeight="1" x14ac:dyDescent="0.2"/>
  <cols>
    <col min="1" max="1" width="50.71484375" customWidth="1"/>
    <col min="5" max="5" width="50.71484375" customWidth="1"/>
    <col min="7" max="7" width="0" hidden="1" customWidth="1"/>
  </cols>
  <sheetData>
    <row r="1" spans="1:6" ht="15.75" customHeight="1" x14ac:dyDescent="0.2">
      <c r="A1" s="2" t="s">
        <v>32</v>
      </c>
      <c r="B1" s="2" t="s">
        <v>33</v>
      </c>
      <c r="E1" s="2" t="s">
        <v>68</v>
      </c>
      <c r="F1" s="2" t="s">
        <v>33</v>
      </c>
    </row>
    <row r="2" spans="1:6" ht="15.75" customHeight="1" x14ac:dyDescent="0.2">
      <c r="A2" s="3" t="s">
        <v>34</v>
      </c>
      <c r="B2" s="82">
        <v>700</v>
      </c>
      <c r="E2" s="4" t="s">
        <v>69</v>
      </c>
      <c r="F2" s="82">
        <v>0</v>
      </c>
    </row>
    <row r="3" spans="1:6" ht="15.75" customHeight="1" x14ac:dyDescent="0.2">
      <c r="A3" s="4" t="s">
        <v>35</v>
      </c>
      <c r="B3" s="82">
        <v>100</v>
      </c>
      <c r="E3" s="4" t="s">
        <v>70</v>
      </c>
      <c r="F3" s="82">
        <v>0</v>
      </c>
    </row>
    <row r="4" spans="1:6" ht="15.75" customHeight="1" x14ac:dyDescent="0.2">
      <c r="A4" s="4" t="s">
        <v>36</v>
      </c>
      <c r="B4" s="82">
        <v>70</v>
      </c>
      <c r="E4" s="4" t="s">
        <v>71</v>
      </c>
      <c r="F4" s="82">
        <v>0</v>
      </c>
    </row>
    <row r="5" spans="1:6" ht="15.75" customHeight="1" x14ac:dyDescent="0.2">
      <c r="A5" s="4" t="s">
        <v>37</v>
      </c>
      <c r="B5" s="82">
        <v>100</v>
      </c>
      <c r="E5" s="4" t="s">
        <v>72</v>
      </c>
      <c r="F5" s="82">
        <v>0</v>
      </c>
    </row>
    <row r="6" spans="1:6" ht="15.75" customHeight="1" x14ac:dyDescent="0.2">
      <c r="A6" s="3" t="s">
        <v>38</v>
      </c>
      <c r="B6" s="82">
        <v>200</v>
      </c>
      <c r="E6" s="4" t="s">
        <v>73</v>
      </c>
      <c r="F6" s="82">
        <v>0</v>
      </c>
    </row>
    <row r="7" spans="1:6" ht="15.75" customHeight="1" x14ac:dyDescent="0.2">
      <c r="A7" s="3" t="s">
        <v>39</v>
      </c>
      <c r="B7" s="82">
        <v>50</v>
      </c>
      <c r="E7" s="4" t="s">
        <v>74</v>
      </c>
      <c r="F7" s="82">
        <v>0</v>
      </c>
    </row>
    <row r="8" spans="1:6" ht="15.75" customHeight="1" x14ac:dyDescent="0.2">
      <c r="A8" s="3" t="s">
        <v>40</v>
      </c>
      <c r="B8" s="82">
        <v>10</v>
      </c>
      <c r="E8" s="4" t="s">
        <v>75</v>
      </c>
      <c r="F8" s="82">
        <v>0</v>
      </c>
    </row>
    <row r="9" spans="1:6" ht="15.75" customHeight="1" x14ac:dyDescent="0.2">
      <c r="A9" s="3" t="s">
        <v>41</v>
      </c>
      <c r="B9" s="82">
        <v>5</v>
      </c>
      <c r="E9" s="4" t="s">
        <v>76</v>
      </c>
      <c r="F9" s="82">
        <v>50</v>
      </c>
    </row>
    <row r="10" spans="1:6" ht="15.75" customHeight="1" x14ac:dyDescent="0.2">
      <c r="A10" s="3" t="s">
        <v>42</v>
      </c>
      <c r="B10" s="82"/>
      <c r="E10" s="4" t="s">
        <v>77</v>
      </c>
      <c r="F10" s="82">
        <v>0</v>
      </c>
    </row>
    <row r="11" spans="1:6" ht="15.75" customHeight="1" x14ac:dyDescent="0.2">
      <c r="A11" s="3" t="s">
        <v>43</v>
      </c>
      <c r="B11" s="82"/>
      <c r="E11" s="4" t="s">
        <v>78</v>
      </c>
      <c r="F11" s="82">
        <v>0</v>
      </c>
    </row>
    <row r="12" spans="1:6" ht="15.75" customHeight="1" x14ac:dyDescent="0.2">
      <c r="A12" s="4" t="s">
        <v>44</v>
      </c>
      <c r="B12" s="82"/>
      <c r="E12" s="4" t="s">
        <v>79</v>
      </c>
      <c r="F12" s="82">
        <v>0</v>
      </c>
    </row>
    <row r="13" spans="1:6" ht="15.75" customHeight="1" x14ac:dyDescent="0.2">
      <c r="A13" s="4" t="s">
        <v>45</v>
      </c>
      <c r="B13" s="82">
        <v>238</v>
      </c>
      <c r="E13" s="2" t="s">
        <v>80</v>
      </c>
      <c r="F13" s="71">
        <f>SUM(F2:F12)</f>
        <v>50</v>
      </c>
    </row>
    <row r="14" spans="1:6" ht="15.75" customHeight="1" x14ac:dyDescent="0.2">
      <c r="A14" s="4" t="s">
        <v>46</v>
      </c>
      <c r="B14" s="82"/>
      <c r="E14" s="2" t="s">
        <v>81</v>
      </c>
      <c r="F14" s="72">
        <f>F13/F28</f>
        <v>1.6056518946692359E-2</v>
      </c>
    </row>
    <row r="15" spans="1:6" ht="15.75" customHeight="1" x14ac:dyDescent="0.2">
      <c r="A15" s="4" t="s">
        <v>47</v>
      </c>
      <c r="B15" s="82">
        <v>7</v>
      </c>
      <c r="E15" s="93"/>
      <c r="F15" s="92"/>
    </row>
    <row r="16" spans="1:6" ht="15.75" customHeight="1" x14ac:dyDescent="0.2">
      <c r="A16" s="4" t="s">
        <v>48</v>
      </c>
      <c r="B16" s="82"/>
      <c r="E16" s="2" t="s">
        <v>82</v>
      </c>
      <c r="F16" s="2" t="s">
        <v>33</v>
      </c>
    </row>
    <row r="17" spans="1:6" ht="15.75" customHeight="1" x14ac:dyDescent="0.2">
      <c r="A17" s="78"/>
      <c r="B17" s="82"/>
      <c r="E17" s="3" t="s">
        <v>83</v>
      </c>
      <c r="F17" s="82">
        <v>2000</v>
      </c>
    </row>
    <row r="18" spans="1:6" ht="15.75" customHeight="1" x14ac:dyDescent="0.2">
      <c r="A18" s="78"/>
      <c r="B18" s="82"/>
      <c r="E18" s="3" t="s">
        <v>83</v>
      </c>
      <c r="F18" s="82">
        <v>0</v>
      </c>
    </row>
    <row r="19" spans="1:6" ht="15.75" customHeight="1" x14ac:dyDescent="0.2">
      <c r="A19" s="2" t="s">
        <v>49</v>
      </c>
      <c r="B19" s="2" t="s">
        <v>33</v>
      </c>
      <c r="E19" s="4" t="s">
        <v>84</v>
      </c>
      <c r="F19" s="82"/>
    </row>
    <row r="20" spans="1:6" ht="15.75" customHeight="1" x14ac:dyDescent="0.2">
      <c r="A20" s="4" t="s">
        <v>50</v>
      </c>
      <c r="B20" s="82">
        <v>81.22</v>
      </c>
      <c r="E20" s="4" t="s">
        <v>84</v>
      </c>
      <c r="F20" s="82"/>
    </row>
    <row r="21" spans="1:6" ht="15.75" customHeight="1" x14ac:dyDescent="0.2">
      <c r="A21" s="4" t="s">
        <v>51</v>
      </c>
      <c r="B21" s="82"/>
      <c r="E21" s="3" t="s">
        <v>85</v>
      </c>
      <c r="F21" s="82">
        <v>259</v>
      </c>
    </row>
    <row r="22" spans="1:6" ht="15.75" customHeight="1" x14ac:dyDescent="0.2">
      <c r="A22" s="4" t="s">
        <v>52</v>
      </c>
      <c r="B22" s="82"/>
      <c r="E22" s="3" t="s">
        <v>86</v>
      </c>
      <c r="F22" s="82"/>
    </row>
    <row r="23" spans="1:6" ht="15.75" customHeight="1" x14ac:dyDescent="0.2">
      <c r="A23" s="4" t="s">
        <v>53</v>
      </c>
      <c r="B23" s="82"/>
      <c r="E23" s="4" t="s">
        <v>87</v>
      </c>
      <c r="F23" s="82"/>
    </row>
    <row r="24" spans="1:6" ht="15.75" customHeight="1" x14ac:dyDescent="0.2">
      <c r="A24" s="4" t="s">
        <v>54</v>
      </c>
      <c r="B24" s="82">
        <v>25</v>
      </c>
      <c r="E24" s="4" t="s">
        <v>88</v>
      </c>
      <c r="F24" s="82"/>
    </row>
    <row r="25" spans="1:6" ht="15.75" customHeight="1" x14ac:dyDescent="0.2">
      <c r="A25" s="4" t="s">
        <v>55</v>
      </c>
      <c r="B25" s="82">
        <v>60</v>
      </c>
      <c r="E25" s="4" t="s">
        <v>89</v>
      </c>
      <c r="F25" s="82"/>
    </row>
    <row r="26" spans="1:6" ht="15.75" customHeight="1" x14ac:dyDescent="0.2">
      <c r="A26" s="4" t="s">
        <v>56</v>
      </c>
      <c r="B26" s="82">
        <v>13.19</v>
      </c>
      <c r="E26" s="3"/>
      <c r="F26" s="82"/>
    </row>
    <row r="27" spans="1:6" ht="15.75" customHeight="1" x14ac:dyDescent="0.2">
      <c r="A27" s="4" t="s">
        <v>57</v>
      </c>
      <c r="B27" s="82"/>
      <c r="E27" s="3" t="s">
        <v>90</v>
      </c>
      <c r="F27" s="82">
        <v>855</v>
      </c>
    </row>
    <row r="28" spans="1:6" ht="15.75" customHeight="1" x14ac:dyDescent="0.2">
      <c r="A28" s="4" t="s">
        <v>58</v>
      </c>
      <c r="B28" s="82"/>
      <c r="E28" s="2" t="s">
        <v>91</v>
      </c>
      <c r="F28" s="71">
        <f>SUM(F17:F27)</f>
        <v>3114</v>
      </c>
    </row>
    <row r="29" spans="1:6" ht="15.75" customHeight="1" x14ac:dyDescent="0.2">
      <c r="A29" s="4" t="s">
        <v>59</v>
      </c>
      <c r="B29" s="82"/>
      <c r="E29" s="2" t="s">
        <v>67</v>
      </c>
      <c r="F29" s="71">
        <f>B41</f>
        <v>2037.4099999999999</v>
      </c>
    </row>
    <row r="30" spans="1:6" ht="15.75" customHeight="1" x14ac:dyDescent="0.2">
      <c r="A30" s="4" t="s">
        <v>60</v>
      </c>
      <c r="B30" s="82"/>
      <c r="E30" s="2" t="s">
        <v>0</v>
      </c>
      <c r="F30" s="71">
        <f>F28-F29</f>
        <v>1076.5900000000001</v>
      </c>
    </row>
    <row r="31" spans="1:6" ht="15.75" customHeight="1" x14ac:dyDescent="0.2">
      <c r="A31" s="4" t="s">
        <v>61</v>
      </c>
      <c r="B31" s="82"/>
      <c r="E31" s="93"/>
      <c r="F31" s="92"/>
    </row>
    <row r="32" spans="1:6" ht="15.75" customHeight="1" x14ac:dyDescent="0.2">
      <c r="A32" s="4" t="s">
        <v>127</v>
      </c>
      <c r="B32" s="82"/>
      <c r="E32" s="2" t="s">
        <v>92</v>
      </c>
      <c r="F32" s="2" t="s">
        <v>93</v>
      </c>
    </row>
    <row r="33" spans="1:7" ht="15.75" customHeight="1" x14ac:dyDescent="0.2">
      <c r="A33" s="4"/>
      <c r="B33" s="82"/>
      <c r="E33" s="3" t="s">
        <v>2</v>
      </c>
      <c r="F33" s="71">
        <f>F2+F3+F4</f>
        <v>0</v>
      </c>
    </row>
    <row r="34" spans="1:7" ht="15.75" customHeight="1" x14ac:dyDescent="0.2">
      <c r="A34" s="78"/>
      <c r="B34" s="82"/>
      <c r="E34" s="3" t="s">
        <v>3</v>
      </c>
      <c r="F34" s="71">
        <f>F5+F7+F8</f>
        <v>0</v>
      </c>
    </row>
    <row r="35" spans="1:7" ht="15.75" customHeight="1" x14ac:dyDescent="0.2">
      <c r="A35" s="2" t="s">
        <v>62</v>
      </c>
      <c r="B35" s="71">
        <f>SUM(B20:B34,B2:B18)</f>
        <v>1659.4099999999999</v>
      </c>
      <c r="E35" s="3" t="s">
        <v>4</v>
      </c>
      <c r="F35" s="71">
        <f>F12+F11+F10+F9</f>
        <v>50</v>
      </c>
    </row>
    <row r="36" spans="1:7" ht="15.75" customHeight="1" x14ac:dyDescent="0.2">
      <c r="A36" s="3" t="s">
        <v>63</v>
      </c>
      <c r="B36" s="82">
        <v>150</v>
      </c>
      <c r="E36" s="2" t="s">
        <v>80</v>
      </c>
      <c r="F36" s="71">
        <f>SUM(F33:F35)</f>
        <v>50</v>
      </c>
    </row>
    <row r="37" spans="1:7" ht="15.75" customHeight="1" x14ac:dyDescent="0.2">
      <c r="A37" s="3" t="s">
        <v>64</v>
      </c>
      <c r="B37" s="82">
        <v>100</v>
      </c>
      <c r="E37" s="93"/>
      <c r="F37" s="92"/>
    </row>
    <row r="38" spans="1:7" ht="15.75" customHeight="1" x14ac:dyDescent="0.2">
      <c r="A38" s="3" t="s">
        <v>95</v>
      </c>
      <c r="B38" s="82">
        <v>110</v>
      </c>
      <c r="E38" s="79" t="s">
        <v>124</v>
      </c>
      <c r="F38" s="72">
        <f>F36/F30</f>
        <v>4.6442935565071189E-2</v>
      </c>
      <c r="G38" t="s">
        <v>122</v>
      </c>
    </row>
    <row r="39" spans="1:7" ht="15.75" customHeight="1" x14ac:dyDescent="0.2">
      <c r="A39" s="2" t="s">
        <v>65</v>
      </c>
      <c r="B39" s="73">
        <f>SUM(B36:B38)</f>
        <v>360</v>
      </c>
      <c r="E39" s="79" t="s">
        <v>125</v>
      </c>
      <c r="F39" s="71">
        <f>F30-F33-F34-F35</f>
        <v>1026.5900000000001</v>
      </c>
      <c r="G39" t="s">
        <v>123</v>
      </c>
    </row>
    <row r="40" spans="1:7" ht="15.75" customHeight="1" x14ac:dyDescent="0.2">
      <c r="A40" s="3" t="s">
        <v>66</v>
      </c>
      <c r="B40" s="73">
        <f>B39*0.05</f>
        <v>18</v>
      </c>
      <c r="E40" s="79" t="s">
        <v>126</v>
      </c>
      <c r="F40" s="72">
        <f>F39/F30</f>
        <v>0.95355706443492882</v>
      </c>
    </row>
    <row r="41" spans="1:7" ht="15.75" customHeight="1" x14ac:dyDescent="0.2">
      <c r="A41" s="2" t="s">
        <v>67</v>
      </c>
      <c r="B41" s="73">
        <f>SUM(B35,B39:B40)</f>
        <v>2037.4099999999999</v>
      </c>
      <c r="E41" s="80" t="s">
        <v>94</v>
      </c>
      <c r="F41" s="81" t="s">
        <v>123</v>
      </c>
    </row>
  </sheetData>
  <sheetProtection algorithmName="SHA-512" hashValue="mCkgLzjK08KNxhBwwcSJix0RGaf49lhFC1q2UzJIveGkPCQ/1MPeP27150GvkpRjCWskTt15++rDvxmpy2bR3A==" saltValue="SKQlCrb1V2fPUK+/lqC9uQ==" spinCount="100000" sheet="1" objects="1" scenarios="1"/>
  <mergeCells count="3">
    <mergeCell ref="E15:F15"/>
    <mergeCell ref="E31:F31"/>
    <mergeCell ref="E37:F37"/>
  </mergeCells>
  <dataValidations count="1">
    <dataValidation type="list" allowBlank="1" showInputMessage="1" showErrorMessage="1" sqref="F41" xr:uid="{A77953FA-DD3C-4CC5-BD9D-B07B662A41E5}">
      <formula1>$G$38:$G$39</formula1>
    </dataValidation>
  </dataValidations>
  <pageMargins left="0.7" right="0.7" top="0.78740157499999996" bottom="0.78740157499999996" header="0.3" footer="0.3"/>
  <pageSetup paperSize="9" scale="7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095E-7611-49C8-99AA-C823E9CFEF63}">
  <sheetPr>
    <pageSetUpPr fitToPage="1"/>
  </sheetPr>
  <dimension ref="B1:G22"/>
  <sheetViews>
    <sheetView topLeftCell="A2" workbookViewId="0">
      <selection activeCell="C20" sqref="C20"/>
    </sheetView>
  </sheetViews>
  <sheetFormatPr defaultColWidth="10.76171875" defaultRowHeight="15" x14ac:dyDescent="0.2"/>
  <cols>
    <col min="2" max="2" width="19.90625" customWidth="1"/>
    <col min="3" max="3" width="25.9609375" customWidth="1"/>
    <col min="6" max="6" width="11.43359375" hidden="1" customWidth="1"/>
    <col min="7" max="7" width="4.03515625" customWidth="1"/>
    <col min="8" max="17" width="11.703125" customWidth="1"/>
  </cols>
  <sheetData>
    <row r="1" spans="2:7" ht="15.75" thickBot="1" x14ac:dyDescent="0.25"/>
    <row r="2" spans="2:7" ht="17.850000000000001" customHeight="1" x14ac:dyDescent="0.2">
      <c r="B2" s="18" t="s">
        <v>19</v>
      </c>
      <c r="C2" s="19" t="s">
        <v>96</v>
      </c>
      <c r="D2" s="19" t="s">
        <v>29</v>
      </c>
      <c r="E2" s="20" t="s">
        <v>114</v>
      </c>
      <c r="F2" s="25"/>
    </row>
    <row r="3" spans="2:7" ht="17.850000000000001" customHeight="1" x14ac:dyDescent="0.2">
      <c r="B3" s="83" t="s">
        <v>128</v>
      </c>
      <c r="C3" s="94"/>
      <c r="D3" s="95"/>
      <c r="E3" s="96"/>
      <c r="F3" s="24"/>
    </row>
    <row r="4" spans="2:7" ht="17.850000000000001" customHeight="1" x14ac:dyDescent="0.2">
      <c r="B4" s="21" t="s">
        <v>0</v>
      </c>
      <c r="C4" s="22" t="s">
        <v>1</v>
      </c>
      <c r="D4" s="37"/>
      <c r="E4" s="77" t="s">
        <v>9</v>
      </c>
      <c r="F4" s="27" t="s">
        <v>10</v>
      </c>
    </row>
    <row r="5" spans="2:7" ht="17.850000000000001" customHeight="1" x14ac:dyDescent="0.2">
      <c r="B5" s="11">
        <f>Tabelle2!F30</f>
        <v>1076.5900000000001</v>
      </c>
      <c r="C5" s="41">
        <f>B5*D5</f>
        <v>107.65900000000002</v>
      </c>
      <c r="D5" s="42">
        <v>0.1</v>
      </c>
      <c r="E5" s="56">
        <f>IF(E4=F4,C5,C13)</f>
        <v>80</v>
      </c>
      <c r="F5" s="43" t="s">
        <v>9</v>
      </c>
      <c r="G5" s="44"/>
    </row>
    <row r="6" spans="2:7" ht="17.850000000000001" customHeight="1" x14ac:dyDescent="0.2">
      <c r="B6" s="15" t="s">
        <v>99</v>
      </c>
      <c r="C6" s="14" t="s">
        <v>2</v>
      </c>
      <c r="D6" s="5"/>
      <c r="E6" s="9"/>
      <c r="F6" s="7" t="s">
        <v>101</v>
      </c>
    </row>
    <row r="7" spans="2:7" ht="17.850000000000001" customHeight="1" x14ac:dyDescent="0.2">
      <c r="B7" s="74" t="s">
        <v>101</v>
      </c>
      <c r="C7" s="41">
        <f>B5*D7</f>
        <v>322.97700000000003</v>
      </c>
      <c r="D7" s="42">
        <v>0.3</v>
      </c>
      <c r="E7" s="47">
        <f>IF(E4=F4,C7,C15)</f>
        <v>0</v>
      </c>
      <c r="F7" s="43" t="s">
        <v>100</v>
      </c>
      <c r="G7" s="44"/>
    </row>
    <row r="8" spans="2:7" ht="17.850000000000001" customHeight="1" x14ac:dyDescent="0.2">
      <c r="B8" s="51" t="s">
        <v>117</v>
      </c>
      <c r="C8" s="14" t="s">
        <v>3</v>
      </c>
      <c r="D8" s="5"/>
      <c r="E8" s="9"/>
      <c r="F8" s="7" t="s">
        <v>102</v>
      </c>
    </row>
    <row r="9" spans="2:7" ht="17.850000000000001" customHeight="1" x14ac:dyDescent="0.2">
      <c r="B9" s="11">
        <f>(Tabelle2!F17+Tabelle2!F18+Tabelle2!F19+Tabelle2!F20+Tabelle2!F23+Tabelle2!F24+Tabelle2!F25)*12</f>
        <v>24000</v>
      </c>
      <c r="C9" s="41">
        <f>B5*D9</f>
        <v>322.97700000000003</v>
      </c>
      <c r="D9" s="42">
        <v>0.3</v>
      </c>
      <c r="E9" s="47">
        <f>IF(E4=F4,C9,C17)</f>
        <v>0</v>
      </c>
      <c r="F9" s="7" t="s">
        <v>103</v>
      </c>
    </row>
    <row r="10" spans="2:7" ht="17.850000000000001" customHeight="1" x14ac:dyDescent="0.2">
      <c r="B10" s="15" t="s">
        <v>18</v>
      </c>
      <c r="C10" s="14" t="s">
        <v>4</v>
      </c>
      <c r="D10" s="5"/>
      <c r="E10" s="9"/>
      <c r="F10" s="7" t="s">
        <v>104</v>
      </c>
    </row>
    <row r="11" spans="2:7" ht="17.850000000000001" customHeight="1" x14ac:dyDescent="0.2">
      <c r="B11" s="74">
        <v>0.2</v>
      </c>
      <c r="C11" s="41">
        <f>B5*D11</f>
        <v>322.97700000000003</v>
      </c>
      <c r="D11" s="42">
        <v>0.3</v>
      </c>
      <c r="E11" s="47">
        <f>IF(E4=F4,C11,C19)</f>
        <v>150</v>
      </c>
      <c r="F11" s="7" t="s">
        <v>115</v>
      </c>
    </row>
    <row r="12" spans="2:7" ht="17.850000000000001" customHeight="1" x14ac:dyDescent="0.2">
      <c r="B12" s="15" t="s">
        <v>106</v>
      </c>
      <c r="C12" s="26" t="s">
        <v>110</v>
      </c>
      <c r="D12" s="5"/>
      <c r="E12" s="9"/>
      <c r="F12" s="7" t="s">
        <v>107</v>
      </c>
    </row>
    <row r="13" spans="2:7" ht="17.850000000000001" customHeight="1" x14ac:dyDescent="0.2">
      <c r="B13" s="74" t="s">
        <v>108</v>
      </c>
      <c r="C13" s="75">
        <v>80</v>
      </c>
      <c r="D13" s="53">
        <f>C13/B5</f>
        <v>7.4308696904113902E-2</v>
      </c>
      <c r="E13" s="9"/>
      <c r="F13" s="7" t="s">
        <v>108</v>
      </c>
    </row>
    <row r="14" spans="2:7" ht="17.850000000000001" customHeight="1" x14ac:dyDescent="0.2">
      <c r="B14" s="51"/>
      <c r="C14" s="14" t="s">
        <v>111</v>
      </c>
      <c r="D14" s="7"/>
      <c r="E14" s="9"/>
      <c r="F14" s="7" t="s">
        <v>109</v>
      </c>
    </row>
    <row r="15" spans="2:7" ht="17.850000000000001" customHeight="1" x14ac:dyDescent="0.2">
      <c r="B15" s="50"/>
      <c r="C15" s="75">
        <v>0</v>
      </c>
      <c r="D15" s="53">
        <f>C15/B5</f>
        <v>0</v>
      </c>
      <c r="E15" s="9"/>
      <c r="F15" s="7"/>
    </row>
    <row r="16" spans="2:7" ht="17.850000000000001" customHeight="1" x14ac:dyDescent="0.2">
      <c r="B16" s="51"/>
      <c r="C16" s="14" t="s">
        <v>112</v>
      </c>
      <c r="D16" s="7"/>
      <c r="E16" s="9"/>
      <c r="F16" s="7"/>
    </row>
    <row r="17" spans="2:7" ht="17.850000000000001" customHeight="1" x14ac:dyDescent="0.2">
      <c r="B17" s="50"/>
      <c r="C17" s="75">
        <v>0</v>
      </c>
      <c r="D17" s="53">
        <f>C17/B5</f>
        <v>0</v>
      </c>
      <c r="E17" s="9"/>
      <c r="F17" s="7"/>
    </row>
    <row r="18" spans="2:7" ht="17.850000000000001" customHeight="1" x14ac:dyDescent="0.2">
      <c r="B18" s="51"/>
      <c r="C18" s="14" t="s">
        <v>113</v>
      </c>
      <c r="D18" s="54"/>
      <c r="E18" s="9"/>
      <c r="F18" s="7"/>
    </row>
    <row r="19" spans="2:7" ht="17.850000000000001" customHeight="1" thickBot="1" x14ac:dyDescent="0.25">
      <c r="B19" s="52"/>
      <c r="C19" s="76">
        <v>150</v>
      </c>
      <c r="D19" s="55">
        <f>B19/B5</f>
        <v>0</v>
      </c>
      <c r="E19" s="10"/>
      <c r="F19" s="7"/>
    </row>
    <row r="22" spans="2:7" x14ac:dyDescent="0.2">
      <c r="G22" s="1"/>
    </row>
  </sheetData>
  <sheetProtection algorithmName="SHA-512" hashValue="2FISi0kGQxGUbt/LJs6HLDuAMGbGTU0YYf/iAd850fQr9kRrx8DntDI58HqtD8brKpaGMkKz+FXE18L3bUY1RQ==" saltValue="f4Myh2Gaq1KllLDZP+Rk8Q==" spinCount="100000" sheet="1" objects="1" scenarios="1"/>
  <mergeCells count="1">
    <mergeCell ref="C3:E3"/>
  </mergeCells>
  <dataValidations count="3">
    <dataValidation type="list" allowBlank="1" showInputMessage="1" showErrorMessage="1" sqref="E4" xr:uid="{1A6DC8DB-A060-4127-8611-D3CED573B02F}">
      <formula1>$F$4:$F$5</formula1>
    </dataValidation>
    <dataValidation type="list" allowBlank="1" showInputMessage="1" showErrorMessage="1" sqref="B7" xr:uid="{B28A4B61-67CA-4C50-8544-D879A12BE86E}">
      <formula1>$F$6:$F$10</formula1>
    </dataValidation>
    <dataValidation type="list" allowBlank="1" showInputMessage="1" showErrorMessage="1" sqref="B13" xr:uid="{F8DE6B20-C809-48AF-9C86-453B0736BC2D}">
      <formula1>$F$11:$F$14</formula1>
    </dataValidation>
  </dataValidations>
  <pageMargins left="0.25" right="0.25" top="0.75" bottom="0.75" header="0.3" footer="0.3"/>
  <pageSetup paperSize="9" orientation="landscape" horizontalDpi="4294967293" r:id="rId1"/>
  <rowBreaks count="1" manualBreakCount="1">
    <brk id="4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5DD1-C312-48DA-B8B9-EB007ED046B1}">
  <dimension ref="B1:K19"/>
  <sheetViews>
    <sheetView tabSelected="1" topLeftCell="A3" workbookViewId="0">
      <selection activeCell="L9" sqref="L9"/>
    </sheetView>
  </sheetViews>
  <sheetFormatPr defaultColWidth="10.76171875" defaultRowHeight="15" x14ac:dyDescent="0.2"/>
  <sheetData>
    <row r="1" spans="2:11" ht="15.75" thickBot="1" x14ac:dyDescent="0.25"/>
    <row r="2" spans="2:11" x14ac:dyDescent="0.2">
      <c r="B2" s="18" t="s">
        <v>20</v>
      </c>
      <c r="C2" s="36"/>
      <c r="D2" s="12" t="s">
        <v>5</v>
      </c>
      <c r="E2" s="13"/>
      <c r="F2" s="13"/>
      <c r="G2" s="64"/>
      <c r="H2" s="18" t="s">
        <v>14</v>
      </c>
      <c r="I2" s="31"/>
      <c r="J2" s="31"/>
      <c r="K2" s="32"/>
    </row>
    <row r="3" spans="2:11" x14ac:dyDescent="0.2">
      <c r="B3" s="29"/>
      <c r="C3" s="24"/>
      <c r="D3" s="8"/>
      <c r="E3" s="5"/>
      <c r="F3" s="5"/>
      <c r="G3" s="23"/>
      <c r="H3" s="29"/>
      <c r="I3" s="24"/>
      <c r="J3" s="24"/>
      <c r="K3" s="30"/>
    </row>
    <row r="4" spans="2:11" ht="25.5" x14ac:dyDescent="0.2">
      <c r="B4" s="21" t="s">
        <v>22</v>
      </c>
      <c r="C4" s="37" t="s">
        <v>23</v>
      </c>
      <c r="D4" s="15" t="s">
        <v>6</v>
      </c>
      <c r="E4" s="14" t="s">
        <v>23</v>
      </c>
      <c r="F4" s="14" t="s">
        <v>97</v>
      </c>
      <c r="G4" s="34"/>
      <c r="H4" s="21" t="s">
        <v>15</v>
      </c>
      <c r="I4" s="28"/>
      <c r="J4" s="60"/>
      <c r="K4" s="16" t="s">
        <v>121</v>
      </c>
    </row>
    <row r="5" spans="2:11" x14ac:dyDescent="0.2">
      <c r="B5" s="45">
        <f>Tabelle1!E5</f>
        <v>80</v>
      </c>
      <c r="C5" s="50">
        <f>B5*12</f>
        <v>960</v>
      </c>
      <c r="D5" s="45">
        <f>IF(AND(OR(Tabelle1!B7=Tabelle1!F6,Tabelle1!B7=Tabelle1!F8),OR(Tabelle1!B13=Tabelle1!F11,Tabelle1!B13=Tabelle1!F12,Tabelle1!B13=Tabelle1!F13)),IF(Tabelle1!E9&lt;34,Tabelle1!E9,34),0)</f>
        <v>0</v>
      </c>
      <c r="E5" s="41">
        <f>D5*12</f>
        <v>0</v>
      </c>
      <c r="F5" s="41">
        <f>IF(D5&lt;33.333333334,D5*F6*12,80)</f>
        <v>0</v>
      </c>
      <c r="G5" s="65"/>
      <c r="H5" s="45">
        <f>IF(Tabelle1!E11&lt;30,Tabelle1!E11,30)</f>
        <v>30</v>
      </c>
      <c r="I5" s="41">
        <f>H5*12</f>
        <v>360</v>
      </c>
      <c r="J5" s="61">
        <f>H5*J6*12</f>
        <v>180</v>
      </c>
      <c r="K5" s="47">
        <f>I5</f>
        <v>360</v>
      </c>
    </row>
    <row r="6" spans="2:11" x14ac:dyDescent="0.2">
      <c r="B6" s="15" t="s">
        <v>21</v>
      </c>
      <c r="C6" s="34" t="s">
        <v>23</v>
      </c>
      <c r="D6" s="15" t="s">
        <v>8</v>
      </c>
      <c r="E6" s="17" t="s">
        <v>7</v>
      </c>
      <c r="F6" s="6">
        <v>0.2</v>
      </c>
      <c r="G6" s="34"/>
      <c r="H6" s="15" t="s">
        <v>16</v>
      </c>
      <c r="I6" s="14" t="s">
        <v>28</v>
      </c>
      <c r="J6" s="62">
        <v>0.5</v>
      </c>
      <c r="K6" s="16" t="s">
        <v>121</v>
      </c>
    </row>
    <row r="7" spans="2:11" ht="25.5" x14ac:dyDescent="0.2">
      <c r="B7" s="45">
        <f>Tabelle1!E7</f>
        <v>0</v>
      </c>
      <c r="C7" s="50">
        <f>B7*12</f>
        <v>0</v>
      </c>
      <c r="D7" s="15" t="s">
        <v>11</v>
      </c>
      <c r="E7" s="14" t="s">
        <v>23</v>
      </c>
      <c r="F7" s="14" t="s">
        <v>97</v>
      </c>
      <c r="G7" s="23"/>
      <c r="H7" s="45">
        <f>IF(Tabelle1!E11-H5&lt;120,Tabelle1!E11-H5,120)</f>
        <v>120</v>
      </c>
      <c r="I7" s="41">
        <f>H7*12</f>
        <v>1440</v>
      </c>
      <c r="J7" s="61">
        <f>H7*J8*12</f>
        <v>360</v>
      </c>
      <c r="K7" s="47">
        <f>I7</f>
        <v>1440</v>
      </c>
    </row>
    <row r="8" spans="2:11" x14ac:dyDescent="0.2">
      <c r="B8" s="8"/>
      <c r="C8" s="23"/>
      <c r="D8" s="45">
        <f>IF(AND(IF(Tabelle1!B13=Tabelle1!F11,Tabelle1!B13=Tabelle1!F12,Tabelle1!B13=Tabelle1!F13),OR(D5=34,D5=0)),IF((Tabelle1!E9-D5)&lt;42,Tabelle1!E9-D5,42),0)</f>
        <v>0</v>
      </c>
      <c r="E8" s="41">
        <f>D8*12</f>
        <v>0</v>
      </c>
      <c r="F8" s="41">
        <f>IF(D8&lt;41.33333,D8*F9*12,50)</f>
        <v>0</v>
      </c>
      <c r="G8" s="23"/>
      <c r="H8" s="15" t="s">
        <v>17</v>
      </c>
      <c r="I8" s="14" t="s">
        <v>28</v>
      </c>
      <c r="J8" s="62">
        <v>0.25</v>
      </c>
      <c r="K8" s="16" t="s">
        <v>121</v>
      </c>
    </row>
    <row r="9" spans="2:11" x14ac:dyDescent="0.2">
      <c r="B9" s="8"/>
      <c r="C9" s="23"/>
      <c r="D9" s="33" t="s">
        <v>13</v>
      </c>
      <c r="E9" s="17" t="s">
        <v>7</v>
      </c>
      <c r="F9" s="6">
        <v>0.1</v>
      </c>
      <c r="G9" s="23"/>
      <c r="H9" s="15" t="s">
        <v>24</v>
      </c>
      <c r="I9" s="41">
        <f>I5+I7</f>
        <v>1800</v>
      </c>
      <c r="J9" s="42">
        <f>(J5+J7)/I9</f>
        <v>0.3</v>
      </c>
      <c r="K9" s="47">
        <f>K7+K5</f>
        <v>1800</v>
      </c>
    </row>
    <row r="10" spans="2:11" ht="25.5" x14ac:dyDescent="0.2">
      <c r="B10" s="8"/>
      <c r="C10" s="23"/>
      <c r="D10" s="57" t="s">
        <v>12</v>
      </c>
      <c r="E10" s="14" t="s">
        <v>23</v>
      </c>
      <c r="F10" s="14" t="s">
        <v>97</v>
      </c>
      <c r="G10" s="23"/>
      <c r="H10" s="15" t="s">
        <v>27</v>
      </c>
      <c r="I10" s="14" t="s">
        <v>23</v>
      </c>
      <c r="J10" s="5"/>
      <c r="K10" s="16" t="s">
        <v>121</v>
      </c>
    </row>
    <row r="11" spans="2:11" x14ac:dyDescent="0.2">
      <c r="B11" s="8"/>
      <c r="C11" s="23"/>
      <c r="D11" s="45">
        <f>IF(AND(OR(Tabelle1!B7=Tabelle1!F6,Tabelle1!B7=Tabelle1!F8),OR(Tabelle1!B13=Tabelle1!F11,Tabelle1!B13=Tabelle1!F12,Tabelle1!B13=Tabelle1!F13),Tabelle1!E11-D5-D8&gt;0),IF(Tabelle1!E11&lt;40,Tabelle1!E11,40),0)</f>
        <v>40</v>
      </c>
      <c r="E11" s="46">
        <f>D11*12</f>
        <v>480</v>
      </c>
      <c r="F11" s="45">
        <f>IF(D11&lt;39.166667,D11*F12*12,40)</f>
        <v>40</v>
      </c>
      <c r="G11" s="23"/>
      <c r="H11" s="45">
        <f>IF(OR(Tabelle1!B7=Tabelle1!F7,Tabelle1!B13=Tabelle1!F14,Tabelle1!B7=Tabelle1!F8),IF(Tabelle1!E11-H7-H5&lt;100,Tabelle1!E11-H5-H7,100),0)</f>
        <v>0</v>
      </c>
      <c r="I11" s="41">
        <f>H11*12</f>
        <v>0</v>
      </c>
      <c r="J11" s="41">
        <f>I11*Tabelle1!B11</f>
        <v>0</v>
      </c>
      <c r="K11" s="47">
        <f>I11</f>
        <v>0</v>
      </c>
    </row>
    <row r="12" spans="2:11" x14ac:dyDescent="0.2">
      <c r="B12" s="8"/>
      <c r="C12" s="23"/>
      <c r="D12" s="58" t="s">
        <v>119</v>
      </c>
      <c r="E12" s="17" t="s">
        <v>7</v>
      </c>
      <c r="F12" s="6">
        <v>0.09</v>
      </c>
      <c r="G12" s="63"/>
      <c r="H12" s="33" t="s">
        <v>30</v>
      </c>
      <c r="I12" s="17" t="s">
        <v>31</v>
      </c>
      <c r="J12" s="6">
        <f>Tabelle1!B11</f>
        <v>0.2</v>
      </c>
      <c r="K12" s="9"/>
    </row>
    <row r="13" spans="2:11" x14ac:dyDescent="0.2">
      <c r="B13" s="8"/>
      <c r="C13" s="23"/>
      <c r="D13" s="91" t="s">
        <v>120</v>
      </c>
      <c r="E13" s="92"/>
      <c r="F13" s="17"/>
      <c r="G13" s="23"/>
      <c r="H13" s="33" t="s">
        <v>105</v>
      </c>
      <c r="I13" s="14" t="s">
        <v>116</v>
      </c>
      <c r="J13" s="14" t="s">
        <v>7</v>
      </c>
      <c r="K13" s="68" t="s">
        <v>121</v>
      </c>
    </row>
    <row r="14" spans="2:11" x14ac:dyDescent="0.2">
      <c r="B14" s="8"/>
      <c r="C14" s="23"/>
      <c r="D14" s="50">
        <f>IF(Tabelle1!E9&gt;250,250-D11-D8-D5,IF(Tabelle1!E9-D5-D8-D11&gt;0,Tabelle1!E9-D5-D8-D11,0))</f>
        <v>0</v>
      </c>
      <c r="E14" s="41">
        <f>D14*12</f>
        <v>0</v>
      </c>
      <c r="F14" s="5"/>
      <c r="G14" s="23"/>
      <c r="H14" s="45">
        <f>IF(AND(Tabelle1!B7=Tabelle1!F6,OR(Tabelle1!B13=Tabelle1!F11,Tabelle1!B13=Tabelle1!F12,Tabelle1!B13=Tabelle1!F13)),IF(Tabelle1!E11-H7-H5&lt;100,Tabelle1!E11-H5-H7,100),0)</f>
        <v>0</v>
      </c>
      <c r="I14" s="41">
        <f>H14*12</f>
        <v>0</v>
      </c>
      <c r="J14" s="41">
        <f>I14*0.15</f>
        <v>0</v>
      </c>
      <c r="K14" s="47">
        <f>I14</f>
        <v>0</v>
      </c>
    </row>
    <row r="15" spans="2:11" x14ac:dyDescent="0.2">
      <c r="B15" s="8"/>
      <c r="C15" s="23"/>
      <c r="D15" s="84" t="s">
        <v>118</v>
      </c>
      <c r="E15" s="85"/>
      <c r="F15" s="85"/>
      <c r="G15" s="85"/>
      <c r="H15" s="84" t="s">
        <v>118</v>
      </c>
      <c r="I15" s="85"/>
      <c r="J15" s="85"/>
      <c r="K15" s="86"/>
    </row>
    <row r="16" spans="2:11" ht="15.75" thickBot="1" x14ac:dyDescent="0.25">
      <c r="B16" s="8"/>
      <c r="C16" s="23"/>
      <c r="D16" s="87">
        <f>IF(Tabelle1!E9-D14-D11-D8-D5&gt;0,Tabelle1!E9-D14-D11-D8-D5,0)</f>
        <v>0</v>
      </c>
      <c r="E16" s="90"/>
      <c r="F16" s="90"/>
      <c r="G16" s="90"/>
      <c r="H16" s="87">
        <f>Tabelle1!E11-H14-H11-H7-H5</f>
        <v>0</v>
      </c>
      <c r="I16" s="88"/>
      <c r="J16" s="88"/>
      <c r="K16" s="89"/>
    </row>
    <row r="17" spans="2:11" ht="15.75" thickBot="1" x14ac:dyDescent="0.25">
      <c r="B17" s="8"/>
      <c r="C17" s="23"/>
      <c r="D17" s="8"/>
      <c r="E17" s="5"/>
      <c r="F17" s="5"/>
      <c r="G17" s="23"/>
      <c r="H17" s="29"/>
      <c r="I17" s="70" t="s">
        <v>121</v>
      </c>
      <c r="J17" s="49">
        <f>(K14+K11+K9)</f>
        <v>1800</v>
      </c>
      <c r="K17" s="49">
        <f>J17*Tabelle1!B11</f>
        <v>360</v>
      </c>
    </row>
    <row r="18" spans="2:11" ht="15.75" thickBot="1" x14ac:dyDescent="0.25">
      <c r="B18" s="8"/>
      <c r="C18" s="38"/>
      <c r="D18" s="8"/>
      <c r="E18" s="39" t="s">
        <v>98</v>
      </c>
      <c r="F18" s="39" t="s">
        <v>7</v>
      </c>
      <c r="G18" s="66" t="s">
        <v>26</v>
      </c>
      <c r="H18" s="8"/>
      <c r="I18" s="69" t="s">
        <v>98</v>
      </c>
      <c r="J18" s="69" t="s">
        <v>7</v>
      </c>
      <c r="K18" s="40" t="s">
        <v>26</v>
      </c>
    </row>
    <row r="19" spans="2:11" ht="15.75" thickBot="1" x14ac:dyDescent="0.25">
      <c r="B19" s="35" t="s">
        <v>25</v>
      </c>
      <c r="C19" s="59">
        <f>C7</f>
        <v>0</v>
      </c>
      <c r="D19" s="35" t="s">
        <v>25</v>
      </c>
      <c r="E19" s="49">
        <f>E14+E11+E8+E5</f>
        <v>480</v>
      </c>
      <c r="F19" s="49">
        <f>F5+F8+F11</f>
        <v>40</v>
      </c>
      <c r="G19" s="67" t="e">
        <f>F19/(Tabelle1!E9*12)</f>
        <v>#DIV/0!</v>
      </c>
      <c r="H19" s="35" t="s">
        <v>25</v>
      </c>
      <c r="I19" s="49">
        <f>I9+I11+I14</f>
        <v>1800</v>
      </c>
      <c r="J19" s="49">
        <f>J5+J7+J11+J14</f>
        <v>540</v>
      </c>
      <c r="K19" s="48">
        <f>J19/I19</f>
        <v>0.3</v>
      </c>
    </row>
  </sheetData>
  <sheetProtection algorithmName="SHA-512" hashValue="WcY+FjIjb5r1/uM1Sok1FsW5nholV+9Jef4Jzo/4fqD0Zye4pfteuhFn9TIi8yh/jCdWeL8rR1CKD6wwK0nkLQ==" saltValue="NjElpC46B/t/PsGGOIZ4RA==" spinCount="100000" sheet="1" objects="1" scenarios="1"/>
  <mergeCells count="5">
    <mergeCell ref="H15:K15"/>
    <mergeCell ref="H16:K16"/>
    <mergeCell ref="D15:G15"/>
    <mergeCell ref="D16:G16"/>
    <mergeCell ref="D13:E13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Tabelle2</vt:lpstr>
      <vt:lpstr>Tabelle1</vt:lpstr>
      <vt:lpstr>Tabelle3</vt:lpstr>
      <vt:lpstr>Tabelle2!Druckbereich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Fittkow</dc:creator>
  <cp:lastModifiedBy>Niklas Fittkow</cp:lastModifiedBy>
  <cp:lastPrinted>2026-05-08T15:54:16Z</cp:lastPrinted>
  <dcterms:created xsi:type="dcterms:W3CDTF">2026-05-07T09:35:40Z</dcterms:created>
  <dcterms:modified xsi:type="dcterms:W3CDTF">2026-05-08T15:54:25Z</dcterms:modified>
</cp:coreProperties>
</file>